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9480" windowHeight="6075"/>
  </bookViews>
  <sheets>
    <sheet name="Regulator's countings" sheetId="1" r:id="rId1"/>
  </sheets>
  <calcPr calcId="145621"/>
</workbook>
</file>

<file path=xl/calcChain.xml><?xml version="1.0" encoding="utf-8"?>
<calcChain xmlns="http://schemas.openxmlformats.org/spreadsheetml/2006/main">
  <c r="F50" i="1" l="1"/>
  <c r="F59" i="1"/>
  <c r="F58" i="1"/>
  <c r="F57" i="1"/>
  <c r="F27" i="1"/>
  <c r="A33" i="1"/>
  <c r="A26" i="1"/>
  <c r="F55" i="1"/>
  <c r="F54" i="1"/>
  <c r="E52" i="1"/>
  <c r="F48" i="1"/>
  <c r="F46" i="1"/>
  <c r="F45" i="1"/>
  <c r="F42" i="1"/>
  <c r="F44" i="1"/>
  <c r="F43" i="1"/>
  <c r="F37" i="1"/>
  <c r="F40" i="1"/>
  <c r="F38" i="1"/>
  <c r="F35" i="1"/>
  <c r="F33" i="1"/>
  <c r="F31" i="1"/>
  <c r="F29" i="1"/>
  <c r="F26" i="1"/>
  <c r="F25" i="1"/>
  <c r="F23" i="1"/>
  <c r="C21" i="1"/>
  <c r="F22" i="1"/>
  <c r="F20" i="1"/>
  <c r="D19" i="1"/>
  <c r="C19" i="1"/>
  <c r="F18" i="1"/>
  <c r="F17" i="1"/>
  <c r="F9" i="1"/>
  <c r="F16" i="1"/>
  <c r="F10" i="1"/>
  <c r="F15" i="1"/>
  <c r="F13" i="1"/>
  <c r="F12" i="1"/>
  <c r="F8" i="1"/>
  <c r="D7" i="1"/>
  <c r="C7" i="1"/>
  <c r="F6" i="1"/>
  <c r="F3" i="1"/>
  <c r="F2" i="1"/>
  <c r="F1" i="1"/>
  <c r="D1" i="1"/>
  <c r="C1" i="1"/>
  <c r="B1" i="1"/>
  <c r="B61" i="1"/>
  <c r="A59" i="1"/>
  <c r="A55" i="1"/>
  <c r="A50" i="1"/>
  <c r="A48" i="1"/>
  <c r="A46" i="1"/>
  <c r="A45" i="1"/>
  <c r="A44" i="1"/>
  <c r="A43" i="1"/>
  <c r="A42" i="1"/>
  <c r="A40" i="1"/>
  <c r="A39" i="1"/>
  <c r="A38" i="1"/>
  <c r="A37" i="1"/>
  <c r="A36" i="1"/>
  <c r="A35" i="1"/>
  <c r="A31" i="1"/>
  <c r="A29" i="1"/>
  <c r="A27" i="1"/>
  <c r="A25" i="1"/>
  <c r="A23" i="1"/>
  <c r="A22" i="1"/>
  <c r="A20" i="1"/>
  <c r="A18" i="1"/>
  <c r="A17" i="1"/>
  <c r="A16" i="1"/>
  <c r="A8" i="1"/>
  <c r="A15" i="1"/>
  <c r="A13" i="1"/>
  <c r="A12" i="1"/>
  <c r="A10" i="1"/>
  <c r="A9" i="1"/>
  <c r="A6" i="1"/>
  <c r="A4" i="1"/>
  <c r="A3" i="1"/>
  <c r="A2" i="1"/>
  <c r="D17" i="1" l="1"/>
  <c r="C17" i="1"/>
  <c r="B33" i="1" l="1"/>
  <c r="B20" i="1" l="1"/>
  <c r="D15" i="1"/>
  <c r="C15" i="1"/>
  <c r="D12" i="1"/>
  <c r="C12" i="1"/>
  <c r="B12" i="1"/>
  <c r="D8" i="1"/>
  <c r="C8" i="1"/>
  <c r="D6" i="1"/>
  <c r="C6" i="1"/>
  <c r="B6" i="1"/>
  <c r="B13" i="1" l="1"/>
  <c r="B50" i="1"/>
  <c r="D20" i="1"/>
  <c r="B22" i="1" s="1"/>
  <c r="C22" i="1" s="1"/>
  <c r="C20" i="1"/>
  <c r="B55" i="1" s="1"/>
  <c r="B23" i="1"/>
  <c r="C23" i="1" s="1"/>
  <c r="B43" i="1" l="1"/>
  <c r="B42" i="1"/>
  <c r="B29" i="1"/>
  <c r="B45" i="1" l="1"/>
  <c r="B44" i="1"/>
  <c r="B46" i="1" s="1"/>
</calcChain>
</file>

<file path=xl/sharedStrings.xml><?xml version="1.0" encoding="utf-8"?>
<sst xmlns="http://schemas.openxmlformats.org/spreadsheetml/2006/main" count="53" uniqueCount="6">
  <si>
    <t>↓</t>
  </si>
  <si>
    <t>←</t>
  </si>
  <si>
    <t>→</t>
  </si>
  <si>
    <t>Русский</t>
  </si>
  <si>
    <t>English</t>
  </si>
  <si>
    <t>Language Select
Выбор языка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</si>
</sst>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0" fillId="5" borderId="0" xfId="0" applyFill="1" applyAlignment="1" applyProtection="1">
      <alignment vertical="center"/>
      <protection locked="0"/>
    </xf>
    <xf numFmtId="0" fontId="0" fillId="6" borderId="0" xfId="0" applyFill="1" applyAlignment="1" applyProtection="1">
      <alignment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2" fontId="0" fillId="5" borderId="0" xfId="0" applyNumberFormat="1" applyFill="1" applyAlignment="1" applyProtection="1">
      <alignment vertical="center"/>
      <protection locked="0"/>
    </xf>
    <xf numFmtId="2" fontId="0" fillId="6" borderId="0" xfId="0" applyNumberFormat="1" applyFill="1" applyAlignment="1" applyProtection="1">
      <alignment vertical="center"/>
      <protection locked="0"/>
    </xf>
    <xf numFmtId="0" fontId="0" fillId="5" borderId="0" xfId="0" applyFill="1" applyAlignment="1" applyProtection="1">
      <alignment vertical="center"/>
    </xf>
    <xf numFmtId="0" fontId="0" fillId="6" borderId="0" xfId="0" applyFill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2" fillId="4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0" fillId="4" borderId="0" xfId="0" applyFill="1" applyAlignment="1" applyProtection="1">
      <alignment vertical="center" wrapText="1"/>
    </xf>
    <xf numFmtId="0" fontId="0" fillId="2" borderId="0" xfId="0" applyFill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2" fillId="0" borderId="0" xfId="0" applyNumberFormat="1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>
      <alignment vertical="center"/>
    </xf>
    <xf numFmtId="1" fontId="2" fillId="0" borderId="0" xfId="0" applyNumberFormat="1" applyFont="1" applyAlignment="1" applyProtection="1">
      <alignment vertical="center"/>
    </xf>
    <xf numFmtId="1" fontId="0" fillId="5" borderId="0" xfId="0" applyNumberFormat="1" applyFill="1" applyAlignment="1" applyProtection="1">
      <alignment vertical="center"/>
    </xf>
    <xf numFmtId="1" fontId="0" fillId="6" borderId="0" xfId="0" applyNumberFormat="1" applyFill="1" applyAlignment="1" applyProtection="1">
      <alignment vertical="center"/>
    </xf>
    <xf numFmtId="0" fontId="2" fillId="0" borderId="0" xfId="0" applyNumberFormat="1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164" fontId="0" fillId="0" borderId="0" xfId="0" applyNumberFormat="1" applyAlignment="1" applyProtection="1">
      <alignment vertical="center"/>
    </xf>
    <xf numFmtId="0" fontId="3" fillId="7" borderId="0" xfId="0" applyFont="1" applyFill="1" applyAlignment="1" applyProtection="1">
      <alignment vertical="center"/>
    </xf>
    <xf numFmtId="165" fontId="2" fillId="0" borderId="0" xfId="0" applyNumberFormat="1" applyFont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 wrapText="1"/>
    </xf>
    <xf numFmtId="0" fontId="0" fillId="3" borderId="0" xfId="0" applyFill="1" applyAlignment="1" applyProtection="1">
      <alignment vertical="center" wrapText="1"/>
    </xf>
    <xf numFmtId="0" fontId="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</cellXfs>
  <cellStyles count="1">
    <cellStyle name="Обычный" xfId="0" builtinId="0"/>
  </cellStyles>
  <dxfs count="1"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" dropStyle="combo" dx="16" fmlaLink="$C$60" fmlaRange="$B$62:$B$63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9525</xdr:rowOff>
        </xdr:from>
        <xdr:to>
          <xdr:col>2</xdr:col>
          <xdr:colOff>19050</xdr:colOff>
          <xdr:row>60</xdr:row>
          <xdr:rowOff>9525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F63"/>
  <sheetViews>
    <sheetView tabSelected="1" workbookViewId="0">
      <selection activeCell="B17" sqref="B17"/>
    </sheetView>
  </sheetViews>
  <sheetFormatPr defaultRowHeight="15" x14ac:dyDescent="0.25"/>
  <cols>
    <col min="1" max="1" width="29.25" style="34" customWidth="1"/>
    <col min="2" max="2" width="12" style="1" customWidth="1"/>
    <col min="3" max="3" width="10.625" style="34" customWidth="1"/>
    <col min="4" max="4" width="10.875" style="34" customWidth="1"/>
    <col min="5" max="5" width="9" style="31"/>
    <col min="6" max="6" width="56.25" style="33" customWidth="1"/>
    <col min="7" max="16384" width="9" style="32"/>
  </cols>
  <sheetData>
    <row r="1" spans="1:6" x14ac:dyDescent="0.25">
      <c r="A1" s="9"/>
      <c r="B1" s="10" t="str">
        <f>IF(C60=1, "Номинал", "Nom")</f>
        <v>Номинал</v>
      </c>
      <c r="C1" s="9" t="str">
        <f>IF(C60=1, "Мин.", "Min")</f>
        <v>Мин.</v>
      </c>
      <c r="D1" s="9" t="str">
        <f>IF(C60=1, "Макс.", "Max")</f>
        <v>Макс.</v>
      </c>
      <c r="E1" s="11"/>
      <c r="F1" s="12" t="str">
        <f>IF(C60=1, "Последовательность рассчёта", "Procedure")</f>
        <v>Последовательность рассчёта</v>
      </c>
    </row>
    <row r="2" spans="1:6" x14ac:dyDescent="0.25">
      <c r="A2" s="13" t="str">
        <f>IF(C60=1, "Опорное напряжение, В", "Regulator voltage, V")</f>
        <v>Опорное напряжение, В</v>
      </c>
      <c r="B2" s="1">
        <v>1.25</v>
      </c>
      <c r="C2" s="2">
        <v>1.2250000000000001</v>
      </c>
      <c r="D2" s="3">
        <v>1.27</v>
      </c>
      <c r="E2" s="11" t="s">
        <v>1</v>
      </c>
      <c r="F2" s="15" t="str">
        <f>IF(C60=1, "Заполнить из листка данных линии 2-4, 26, 35, 36, 38, 39", "Fill in the lines 2-4, 26, 35, 36, 38, 39 from a dataheet.")</f>
        <v>Заполнить из листка данных линии 2-4, 26, 35, 36, 38, 39</v>
      </c>
    </row>
    <row r="3" spans="1:6" x14ac:dyDescent="0.25">
      <c r="A3" s="13" t="str">
        <f>IF(C60=1, "Ток управления, мкА", "Adjust Pin current, μA")</f>
        <v>Ток управления, мкА</v>
      </c>
      <c r="B3" s="4">
        <v>55</v>
      </c>
      <c r="C3" s="5">
        <v>55</v>
      </c>
      <c r="D3" s="6">
        <v>62</v>
      </c>
      <c r="E3" s="11" t="s">
        <v>1</v>
      </c>
      <c r="F3" s="15" t="str">
        <f>IF(C60=1, "Линия 3 может указывать точность или термостабильность", "Line 3 can be filled in by tolerances or by thermal deviations.")</f>
        <v>Линия 3 может указывать точность или термостабильность</v>
      </c>
    </row>
    <row r="4" spans="1:6" x14ac:dyDescent="0.25">
      <c r="A4" s="13" t="str">
        <f>IF(C60=1, "Мин. ток регулирования, мА", "Minimum output current, mA")</f>
        <v>Мин. ток регулирования, мА</v>
      </c>
      <c r="B4" s="4">
        <v>5</v>
      </c>
      <c r="C4" s="5">
        <v>5</v>
      </c>
      <c r="D4" s="6">
        <v>10</v>
      </c>
      <c r="E4" s="11" t="s">
        <v>1</v>
      </c>
      <c r="F4" s="15"/>
    </row>
    <row r="5" spans="1:6" x14ac:dyDescent="0.25">
      <c r="A5" s="17"/>
      <c r="C5" s="2"/>
      <c r="D5" s="3"/>
      <c r="E5" s="11" t="s">
        <v>0</v>
      </c>
      <c r="F5" s="15"/>
    </row>
    <row r="6" spans="1:6" x14ac:dyDescent="0.25">
      <c r="A6" s="18" t="str">
        <f>IF(C60=1, "Макс. Radj без нагрузки, Ом", "Maximum Radj no load, Ohm")</f>
        <v>Макс. Radj без нагрузки, Ом</v>
      </c>
      <c r="B6" s="19">
        <f>B2*1000/B4</f>
        <v>250</v>
      </c>
      <c r="C6" s="20">
        <f>C2*1000/D4</f>
        <v>122.5</v>
      </c>
      <c r="D6" s="21">
        <f>D2*1000/C4</f>
        <v>254</v>
      </c>
      <c r="E6" s="11" t="s">
        <v>2</v>
      </c>
      <c r="F6" s="15" t="str">
        <f>IF(C60=1, "Указывает опорное значение для выбора в линии 8", "Take into account the value and choose your own in the line 8.")</f>
        <v>Указывает опорное значение для выбора в линии 8</v>
      </c>
    </row>
    <row r="7" spans="1:6" x14ac:dyDescent="0.25">
      <c r="A7" s="17"/>
      <c r="C7" s="9" t="str">
        <f>IF(C60=1, "Точность-", "Tolerance-")</f>
        <v>Точность-</v>
      </c>
      <c r="D7" s="9" t="str">
        <f>IF(C60=1, "Точность+", "Tolerance+")</f>
        <v>Точность+</v>
      </c>
      <c r="E7" s="11" t="s">
        <v>0</v>
      </c>
      <c r="F7" s="15"/>
    </row>
    <row r="8" spans="1:6" ht="30" x14ac:dyDescent="0.25">
      <c r="A8" s="13" t="str">
        <f>IF(C60=1, "Выбранное Radj, Ом", "Selected Radj, Ohm")</f>
        <v>Выбранное Radj, Ом</v>
      </c>
      <c r="B8" s="1">
        <v>4530</v>
      </c>
      <c r="C8" s="2">
        <f>B8-B8*B9/100</f>
        <v>4525.47</v>
      </c>
      <c r="D8" s="3">
        <f>B8+B8*B9/100</f>
        <v>4534.53</v>
      </c>
      <c r="E8" s="11" t="s">
        <v>1</v>
      </c>
      <c r="F8" s="15" t="str">
        <f>IF(C60=1, "Заполнить выбранное значение (из ряда сопротивлений). Если больше рассчитанного в линии 6 учитывайте линию 13", "Fill in a chosen value. If greater than counted in line 6 mind line 13.")</f>
        <v>Заполнить выбранное значение (из ряда сопротивлений). Если больше рассчитанного в линии 6 учитывайте линию 13</v>
      </c>
    </row>
    <row r="9" spans="1:6" x14ac:dyDescent="0.25">
      <c r="A9" s="13" t="str">
        <f>IF(C60=1, "Точность Radj, %", "Precision for Radj, %")</f>
        <v>Точность Radj, %</v>
      </c>
      <c r="B9" s="1">
        <v>0.1</v>
      </c>
      <c r="C9" s="2"/>
      <c r="D9" s="3"/>
      <c r="E9" s="11" t="s">
        <v>1</v>
      </c>
      <c r="F9" s="15" t="str">
        <f>IF(C60=1, "Заполнить точность применяемого резистора", "Fill the line with the tolerance of the resistor used.")</f>
        <v>Заполнить точность применяемого резистора</v>
      </c>
    </row>
    <row r="10" spans="1:6" x14ac:dyDescent="0.25">
      <c r="A10" s="13" t="str">
        <f>IF(C60=1, "Выходное напряжение, В", "Output Voltage, V")</f>
        <v>Выходное напряжение, В</v>
      </c>
      <c r="B10" s="1">
        <v>4</v>
      </c>
      <c r="C10" s="2"/>
      <c r="D10" s="3"/>
      <c r="E10" s="11" t="s">
        <v>1</v>
      </c>
      <c r="F10" s="15" t="str">
        <f>IF(C60=1, "Заполнить требуемое напряжение", "Fill in the desired output voltage.")</f>
        <v>Заполнить требуемое напряжение</v>
      </c>
    </row>
    <row r="11" spans="1:6" x14ac:dyDescent="0.25">
      <c r="A11" s="17"/>
      <c r="C11" s="2"/>
      <c r="D11" s="3"/>
      <c r="E11" s="11" t="s">
        <v>0</v>
      </c>
      <c r="F11" s="15"/>
    </row>
    <row r="12" spans="1:6" x14ac:dyDescent="0.25">
      <c r="A12" s="18" t="str">
        <f>IF(C60=1, "Вычисленное Rg, Ом", "Calculated Rg, Ohm")</f>
        <v>Вычисленное Rg, Ом</v>
      </c>
      <c r="B12" s="19">
        <f>(B10-B2)/((B2/B8)+(B3/1000000))</f>
        <v>8309.7088350065042</v>
      </c>
      <c r="C12" s="20">
        <f>(B10-D2)/((D2/B8)+(D3/1000000))</f>
        <v>7974.2207549359719</v>
      </c>
      <c r="D12" s="21">
        <f>(B10-C2)/((C2/B8)+(C3/1000000))</f>
        <v>8527.4565003561383</v>
      </c>
      <c r="E12" s="11" t="s">
        <v>2</v>
      </c>
      <c r="F12" s="15" t="str">
        <f>IF(C60=1, "Опорное значение для выбора в линии 15", "Take into the account the value and choose your own in the line 15.")</f>
        <v>Опорное значение для выбора в линии 15</v>
      </c>
    </row>
    <row r="13" spans="1:6" x14ac:dyDescent="0.25">
      <c r="A13" s="18" t="str">
        <f>IF(C60=1, "Гарантированная нагрузка, Ом", "Guaranteed Load, Ohm")</f>
        <v>Гарантированная нагрузка, Ом</v>
      </c>
      <c r="B13" s="22">
        <f>IF(B8-C6&gt;=0, ROUNDDOWN(B10/(D4/1000-(C2/D8)),0), "N/A")</f>
        <v>411</v>
      </c>
      <c r="C13" s="20"/>
      <c r="D13" s="21"/>
      <c r="E13" s="11" t="s">
        <v>2</v>
      </c>
      <c r="F13" s="15" t="str">
        <f>IF(C60=1, "N/A-не требуется дополнительной нагрузки", "N/A-don't need an additional garanteed load resitance.")</f>
        <v>N/A-не требуется дополнительной нагрузки</v>
      </c>
    </row>
    <row r="14" spans="1:6" x14ac:dyDescent="0.25">
      <c r="A14" s="17"/>
      <c r="C14" s="2"/>
      <c r="D14" s="3"/>
      <c r="E14" s="11" t="s">
        <v>0</v>
      </c>
      <c r="F14" s="15"/>
    </row>
    <row r="15" spans="1:6" x14ac:dyDescent="0.25">
      <c r="A15" s="13" t="str">
        <f>IF(C60=1, "Выбранное Rg, Ом", "Selected Rg, Ohm")</f>
        <v>Выбранное Rg, Ом</v>
      </c>
      <c r="B15" s="1">
        <v>8430</v>
      </c>
      <c r="C15" s="7">
        <f>B15-B15*B16/100</f>
        <v>8345.7000000000007</v>
      </c>
      <c r="D15" s="8">
        <f>B15+B15*B16/100</f>
        <v>8514.2999999999993</v>
      </c>
      <c r="E15" s="11" t="s">
        <v>1</v>
      </c>
      <c r="F15" s="15" t="str">
        <f>IF(C60=1, "Заполнить выбранное значение (из ряда сопротивлений)", "Fill in a chosen value. Use the appropriate E-line.")</f>
        <v>Заполнить выбранное значение (из ряда сопротивлений)</v>
      </c>
    </row>
    <row r="16" spans="1:6" x14ac:dyDescent="0.25">
      <c r="A16" s="13" t="str">
        <f>IF(C60=1, "Точность Rg, %", "Precision for Rg, %")</f>
        <v>Точность Rg, %</v>
      </c>
      <c r="B16" s="1">
        <v>1</v>
      </c>
      <c r="C16" s="7"/>
      <c r="D16" s="8"/>
      <c r="E16" s="11" t="s">
        <v>1</v>
      </c>
      <c r="F16" s="15" t="str">
        <f>IF(C60=1, "Заполнить точность применяемого резистора", "Fill the line with the tolerance of the resistor used.")</f>
        <v>Заполнить точность применяемого резистора</v>
      </c>
    </row>
    <row r="17" spans="1:6" x14ac:dyDescent="0.25">
      <c r="A17" s="13" t="str">
        <f>IF(C60=1, "Выбранная нагрузка, Ом", "Selected Load, Ohm")</f>
        <v>Выбранная нагрузка, Ом</v>
      </c>
      <c r="B17" s="1">
        <v>220</v>
      </c>
      <c r="C17" s="7">
        <f>B17-B17*B18/100</f>
        <v>217.8</v>
      </c>
      <c r="D17" s="8">
        <f>B17+B17*B18/100</f>
        <v>222.2</v>
      </c>
      <c r="E17" s="11" t="s">
        <v>1</v>
      </c>
      <c r="F17" s="15" t="str">
        <f>IF(C60=1, "Заполнить выбранное значение (из ряда сопротивлений)", "Fill in a chosen value. Use the appropriate E-line.")</f>
        <v>Заполнить выбранное значение (из ряда сопротивлений)</v>
      </c>
    </row>
    <row r="18" spans="1:6" x14ac:dyDescent="0.25">
      <c r="A18" s="13" t="str">
        <f>IF(C60=1, "Точность выбранной нагрузки, %", "Precision for Selected Load, %")</f>
        <v>Точность выбранной нагрузки, %</v>
      </c>
      <c r="B18" s="1">
        <v>1</v>
      </c>
      <c r="C18" s="17"/>
      <c r="D18" s="17"/>
      <c r="E18" s="11" t="s">
        <v>0</v>
      </c>
      <c r="F18" s="15" t="str">
        <f>IF(C60=1, "Заполнить точность применяемого резистора", "Fill the line with the tolerance of the resistor used.")</f>
        <v>Заполнить точность применяемого резистора</v>
      </c>
    </row>
    <row r="19" spans="1:6" x14ac:dyDescent="0.25">
      <c r="A19" s="17"/>
      <c r="B19" s="14"/>
      <c r="C19" s="9" t="str">
        <f>IF(C60=1, "Нижний", "Worst-")</f>
        <v>Нижний</v>
      </c>
      <c r="D19" s="9" t="str">
        <f>IF(C60=1, "Верхний", "Worst+")</f>
        <v>Верхний</v>
      </c>
      <c r="E19" s="11" t="s">
        <v>0</v>
      </c>
      <c r="F19" s="15"/>
    </row>
    <row r="20" spans="1:6" ht="30" x14ac:dyDescent="0.25">
      <c r="A20" s="18" t="str">
        <f>IF(C60=1, "Проверка напряжения, В", "Check Vout-nom, V")</f>
        <v>Проверка напряжения, В</v>
      </c>
      <c r="B20" s="23">
        <f>B2*(1+(B15/B8))+B3*B15/1000000</f>
        <v>4.0398089403973509</v>
      </c>
      <c r="C20" s="24">
        <f>C2*(1+(C15/D8))+C3*C15/1000000</f>
        <v>3.9385983191543565</v>
      </c>
      <c r="D20" s="24">
        <f>D2*(1+(D15/C8))+D3*D15/1000000</f>
        <v>4.1872872589370829</v>
      </c>
      <c r="E20" s="25" t="s">
        <v>2</v>
      </c>
      <c r="F20" s="15" t="str">
        <f>IF(C60=1, "Проверить полученные результаты. Подберите значения в линиях 8 и 15", "Check the actual output voltage margins. Play with lines 8 and 15 to tune.")</f>
        <v>Проверить полученные результаты. Подберите значения в линиях 8 и 15</v>
      </c>
    </row>
    <row r="21" spans="1:6" x14ac:dyDescent="0.25">
      <c r="A21" s="17"/>
      <c r="B21" s="14"/>
      <c r="C21" s="9" t="str">
        <f>IF(C60=1, "Рекоменд.", "Recomm.")</f>
        <v>Рекоменд.</v>
      </c>
      <c r="D21" s="17"/>
      <c r="E21" s="11" t="s">
        <v>0</v>
      </c>
      <c r="F21" s="15"/>
    </row>
    <row r="22" spans="1:6" x14ac:dyDescent="0.25">
      <c r="A22" s="18" t="str">
        <f>IF(C60=1, "Мощность Rg, Вт", "Power Rg, W")</f>
        <v>Мощность Rg, Вт</v>
      </c>
      <c r="B22" s="26">
        <f>(D20-C2)*(D20/(C8+C15)+D3/1000000)</f>
        <v>1.1473619007730392E-3</v>
      </c>
      <c r="C22" s="7">
        <f>B22*4</f>
        <v>4.5894476030921569E-3</v>
      </c>
      <c r="E22" s="25" t="s">
        <v>2</v>
      </c>
      <c r="F22" s="15" t="str">
        <f>IF(C60=1, "Мощность резистора", "Power rating of the resitor.")</f>
        <v>Мощность резистора</v>
      </c>
    </row>
    <row r="23" spans="1:6" x14ac:dyDescent="0.25">
      <c r="A23" s="18" t="str">
        <f>IF(C60=1, "Мощность Radj, Вт", "Power Radj, W")</f>
        <v>Мощность Radj, Вт</v>
      </c>
      <c r="B23" s="26">
        <f>D2*D2/C8</f>
        <v>3.564049700915043E-4</v>
      </c>
      <c r="C23" s="7">
        <f>B23*4</f>
        <v>1.4256198803660172E-3</v>
      </c>
      <c r="E23" s="25" t="s">
        <v>2</v>
      </c>
      <c r="F23" s="15" t="str">
        <f>IF(C60=1, "Мощность резистора", "Power rating of the resitor.")</f>
        <v>Мощность резистора</v>
      </c>
    </row>
    <row r="24" spans="1:6" x14ac:dyDescent="0.25">
      <c r="A24" s="17"/>
      <c r="E24" s="11" t="s">
        <v>0</v>
      </c>
      <c r="F24" s="15"/>
    </row>
    <row r="25" spans="1:6" x14ac:dyDescent="0.25">
      <c r="A25" s="13" t="str">
        <f>IF(C60=1, "Ток нагрузки, А", "Load current, A")</f>
        <v>Ток нагрузки, А</v>
      </c>
      <c r="B25" s="4">
        <v>2.2000000000000002</v>
      </c>
      <c r="E25" s="11" t="s">
        <v>1</v>
      </c>
      <c r="F25" s="15" t="str">
        <f>IF(C60=1, "Заполнить номинальный ток нагрузки", "Fill in the nominal load current.")</f>
        <v>Заполнить номинальный ток нагрузки</v>
      </c>
    </row>
    <row r="26" spans="1:6" x14ac:dyDescent="0.25">
      <c r="A26" s="13" t="str">
        <f>IF(C60=1, "Миним. падение напряжения, В", "Dropout Voltage, V")</f>
        <v>Миним. падение напряжения, В</v>
      </c>
      <c r="B26" s="4">
        <v>1.5</v>
      </c>
      <c r="E26" s="11" t="s">
        <v>1</v>
      </c>
      <c r="F26" s="15" t="str">
        <f>IF(C60=1, "См. информацию в линии 2", "See information in the line 2.")</f>
        <v>См. информацию в линии 2</v>
      </c>
    </row>
    <row r="27" spans="1:6" x14ac:dyDescent="0.25">
      <c r="A27" s="13" t="str">
        <f>IF(C60=1, "Изменения в сети, %", "Mains tolerance, %")</f>
        <v>Изменения в сети, %</v>
      </c>
      <c r="B27" s="4">
        <v>10</v>
      </c>
      <c r="E27" s="11" t="s">
        <v>1</v>
      </c>
      <c r="F27" s="15" t="str">
        <f>IF(C60=1, "Заполнить пределы изменений напряжения в сети", "Fill in the mains tolerance.")</f>
        <v>Заполнить пределы изменений напряжения в сети</v>
      </c>
    </row>
    <row r="28" spans="1:6" x14ac:dyDescent="0.25">
      <c r="A28" s="27"/>
      <c r="B28" s="4"/>
      <c r="E28" s="11" t="s">
        <v>0</v>
      </c>
      <c r="F28" s="15"/>
    </row>
    <row r="29" spans="1:6" x14ac:dyDescent="0.25">
      <c r="A29" s="18" t="str">
        <f>IF(C60=1, "Расчётное входное напряжение, В", "Input Voltage nominal min, V")</f>
        <v>Расчётное входное напряжение, В</v>
      </c>
      <c r="B29" s="16">
        <f>(D20+B26)/(1-B27/100)</f>
        <v>6.3192080654856477</v>
      </c>
      <c r="E29" s="11" t="s">
        <v>2</v>
      </c>
      <c r="F29" s="15" t="str">
        <f>IF(C60=1, "Рассчётный оптимум минимального входного напряжения", "Counted optimal nominal input voltage.")</f>
        <v>Рассчётный оптимум минимального входного напряжения</v>
      </c>
    </row>
    <row r="30" spans="1:6" x14ac:dyDescent="0.25">
      <c r="A30" s="27"/>
      <c r="B30" s="4"/>
      <c r="E30" s="11" t="s">
        <v>0</v>
      </c>
      <c r="F30" s="15"/>
    </row>
    <row r="31" spans="1:6" ht="30" x14ac:dyDescent="0.25">
      <c r="A31" s="13" t="str">
        <f>IF(C60=1, "Имеющееся вх. напряжение, В", "Real Input Voltage nominal, V")</f>
        <v>Имеющееся вх. напряжение, В</v>
      </c>
      <c r="B31" s="4">
        <v>6.8</v>
      </c>
      <c r="E31" s="11" t="s">
        <v>1</v>
      </c>
      <c r="F31" s="15" t="str">
        <f>IF(C60=1, "Заполнить реальное среднеквадратичное входное напряжение с учётом превышения минимального напряжения в линии 29", "Fill in real nominal input RMS voltage taking into account AC part. Must be greater than line 27 (in red if not).")</f>
        <v>Заполнить реальное среднеквадратичное входное напряжение с учётом превышения минимального напряжения в линии 29</v>
      </c>
    </row>
    <row r="32" spans="1:6" x14ac:dyDescent="0.25">
      <c r="A32" s="27"/>
      <c r="B32" s="4"/>
      <c r="E32" s="11" t="s">
        <v>0</v>
      </c>
      <c r="F32" s="15"/>
    </row>
    <row r="33" spans="1:6" x14ac:dyDescent="0.25">
      <c r="A33" s="18" t="str">
        <f>IF(C60=1, "Максим. входное напряжение, В", "Input Voltage max, V")</f>
        <v>Максим. входное напряжение, В</v>
      </c>
      <c r="B33" s="16">
        <f>B31*(1+B27/100)</f>
        <v>7.48</v>
      </c>
      <c r="E33" s="11" t="s">
        <v>2</v>
      </c>
      <c r="F33" s="15" t="str">
        <f>IF(C60=1, "Рассчётное максимальное входное напряжение", "Counted maximal input voltage.")</f>
        <v>Рассчётное максимальное входное напряжение</v>
      </c>
    </row>
    <row r="34" spans="1:6" x14ac:dyDescent="0.25">
      <c r="A34" s="27"/>
      <c r="B34" s="4"/>
      <c r="E34" s="11" t="s">
        <v>0</v>
      </c>
      <c r="F34" s="15"/>
    </row>
    <row r="35" spans="1:6" ht="30" x14ac:dyDescent="0.25">
      <c r="A35" s="13" t="str">
        <f>IF(C60=1, "θJC, C/Вт (управление)", "θJC, C/W (For Control Section)")</f>
        <v>θJC, C/Вт (управление)</v>
      </c>
      <c r="B35" s="4">
        <v>0.7</v>
      </c>
      <c r="E35" s="11" t="s">
        <v>1</v>
      </c>
      <c r="F35" s="15" t="str">
        <f>IF(C60=1, "Для регулятора с единственной секцией заполните обе секции одинаковыми значениями", "For regulator with a single section put the same values into both control and output sections.")</f>
        <v>Для регулятора с единственной секцией заполните обе секции одинаковыми значениями</v>
      </c>
    </row>
    <row r="36" spans="1:6" x14ac:dyDescent="0.25">
      <c r="A36" s="13" t="str">
        <f>IF(C60=1, "θJC, C/Вт (нагрузка)", "θJC, C/W (For Output Section)")</f>
        <v>θJC, C/Вт (нагрузка)</v>
      </c>
      <c r="B36" s="4">
        <v>3</v>
      </c>
      <c r="E36" s="11" t="s">
        <v>1</v>
      </c>
      <c r="F36" s="15"/>
    </row>
    <row r="37" spans="1:6" ht="30" customHeight="1" x14ac:dyDescent="0.25">
      <c r="A37" s="13" t="str">
        <f>IF(C60=1, "θCH, C/Вт", "θCH, C/W")</f>
        <v>θCH, C/Вт</v>
      </c>
      <c r="B37" s="4">
        <v>0.2</v>
      </c>
      <c r="E37" s="11" t="s">
        <v>1</v>
      </c>
      <c r="F37" s="15" t="str">
        <f>IF(C60=1, "Заполнить термосопротивление прокладки или соединения с радиатором", "Fill in with the termal info for IC-to-heater connections (pad or grease).")</f>
        <v>Заполнить термосопротивление прокладки или соединения с радиатором</v>
      </c>
    </row>
    <row r="38" spans="1:6" ht="30" customHeight="1" x14ac:dyDescent="0.25">
      <c r="A38" s="13" t="str">
        <f>IF(C60=1, "Tj макс, C (управление)", "Tj max, C (For Control section)")</f>
        <v>Tj макс, C (управление)</v>
      </c>
      <c r="B38" s="4">
        <v>125</v>
      </c>
      <c r="E38" s="11" t="s">
        <v>1</v>
      </c>
      <c r="F38" s="15" t="str">
        <f>IF(C60=1, "Для регулятора с единственной секцией заполните обе секции одинаковыми значениями", "For regulator with a single section put the same values into both control and output sections.")</f>
        <v>Для регулятора с единственной секцией заполните обе секции одинаковыми значениями</v>
      </c>
    </row>
    <row r="39" spans="1:6" x14ac:dyDescent="0.25">
      <c r="A39" s="13" t="str">
        <f>IF(C60=1, "Tj макс, C (нагрузка)", "Tj max, C (For Output section)")</f>
        <v>Tj макс, C (нагрузка)</v>
      </c>
      <c r="B39" s="4">
        <v>150</v>
      </c>
      <c r="E39" s="11" t="s">
        <v>1</v>
      </c>
      <c r="F39" s="15"/>
    </row>
    <row r="40" spans="1:6" x14ac:dyDescent="0.25">
      <c r="A40" s="28" t="str">
        <f>IF(C60=1, "Ta макс, C", "Ta max, C")</f>
        <v>Ta макс, C</v>
      </c>
      <c r="B40" s="4">
        <v>40</v>
      </c>
      <c r="E40" s="11" t="s">
        <v>1</v>
      </c>
      <c r="F40" s="15" t="str">
        <f>IF(C60=1, "Заполнить максимальную температуру в корпусе", "Fill in the max temperature in the case.")</f>
        <v>Заполнить максимальную температуру в корпусе</v>
      </c>
    </row>
    <row r="41" spans="1:6" x14ac:dyDescent="0.25">
      <c r="A41" s="27"/>
      <c r="B41" s="4"/>
      <c r="E41" s="11" t="s">
        <v>0</v>
      </c>
      <c r="F41" s="15"/>
    </row>
    <row r="42" spans="1:6" ht="31.5" customHeight="1" x14ac:dyDescent="0.25">
      <c r="A42" s="18" t="str">
        <f>IF(C60=1, "θJA, C/Вт (управление)", "θJA, C/W (For Control Section)")</f>
        <v>θJA, C/Вт (управление)</v>
      </c>
      <c r="B42" s="16">
        <f>(B38-B40)*0.9/B55</f>
        <v>9.7320492315879203</v>
      </c>
      <c r="E42" s="11" t="s">
        <v>2</v>
      </c>
      <c r="F42" s="15" t="str">
        <f>IF(C60=1, "Рассчётное максимальное значение термосопротивления кристалл-пространство для секции управления", "Counted maximum termal conductivity for Control Section.")</f>
        <v>Рассчётное максимальное значение термосопротивления кристалл-пространство для секции управления</v>
      </c>
    </row>
    <row r="43" spans="1:6" ht="30" customHeight="1" x14ac:dyDescent="0.25">
      <c r="A43" s="18" t="str">
        <f>IF(C60=1, "θJA, C/Вт (нагрузка)", "θJA, C/W (For Output Section)")</f>
        <v>θJA, C/Вт (нагрузка)</v>
      </c>
      <c r="B43" s="16">
        <f>(B39-B40)*1.1/B55</f>
        <v>15.393175908786125</v>
      </c>
      <c r="E43" s="11" t="s">
        <v>2</v>
      </c>
      <c r="F43" s="15" t="str">
        <f>IF(C60=1, "Рассчётное максимальное значение термосопротивления кристалл-пространство для секции нагрузки", "Counted maximum termal conductivity for Maximum Section.")</f>
        <v>Рассчётное максимальное значение термосопротивления кристалл-пространство для секции нагрузки</v>
      </c>
    </row>
    <row r="44" spans="1:6" ht="30" customHeight="1" x14ac:dyDescent="0.25">
      <c r="A44" s="18" t="str">
        <f>IF(C60=1, "θHA, C/Вт (управление)", "θHA, C/W (For Control Section)")</f>
        <v>θHA, C/Вт (управление)</v>
      </c>
      <c r="B44" s="16">
        <f>B42-B35-B37</f>
        <v>8.8320492315879218</v>
      </c>
      <c r="E44" s="11" t="s">
        <v>2</v>
      </c>
      <c r="F44" s="15" t="str">
        <f>IF(C60=1, "Рассчётное термосопротивление необходимого радиатора секции управления", "Counted requirements for heatsink for Control Section.")</f>
        <v>Рассчётное термосопротивление необходимого радиатора секции управления</v>
      </c>
    </row>
    <row r="45" spans="1:6" ht="30" customHeight="1" x14ac:dyDescent="0.25">
      <c r="A45" s="18" t="str">
        <f>IF(C60=1, "θHA, C/Вт (нагрузка)", "θHA, C/W (For Output Section)")</f>
        <v>θHA, C/Вт (нагрузка)</v>
      </c>
      <c r="B45" s="16">
        <f>B43-B36-B37</f>
        <v>12.193175908786126</v>
      </c>
      <c r="E45" s="11" t="s">
        <v>2</v>
      </c>
      <c r="F45" s="15" t="str">
        <f>IF(C60=1, "Рассчётное термосопротивление необходимого радиатора секции нагрузки", "Counted requirements for heatsink for Output Section.")</f>
        <v>Рассчётное термосопротивление необходимого радиатора секции нагрузки</v>
      </c>
    </row>
    <row r="46" spans="1:6" ht="30" customHeight="1" x14ac:dyDescent="0.25">
      <c r="A46" s="18" t="str">
        <f>IF(C60=1, "θhs, C/Вт", "θhs, C/W")</f>
        <v>θhs, C/Вт</v>
      </c>
      <c r="B46" s="16">
        <f>MIN(B44, B45)</f>
        <v>8.8320492315879218</v>
      </c>
      <c r="E46" s="25" t="s">
        <v>2</v>
      </c>
      <c r="F46" s="15" t="str">
        <f>IF(C60=1, "Необходимое интегральное термосопротивление радиатора на стабилизатор", "Recommended heatsink (max termal resistance).")</f>
        <v>Необходимое интегральное термосопротивление радиатора на стабилизатор</v>
      </c>
    </row>
    <row r="47" spans="1:6" x14ac:dyDescent="0.25">
      <c r="A47" s="27"/>
      <c r="B47" s="4"/>
      <c r="E47" s="11" t="s">
        <v>0</v>
      </c>
      <c r="F47" s="15"/>
    </row>
    <row r="48" spans="1:6" x14ac:dyDescent="0.25">
      <c r="A48" s="13" t="str">
        <f>IF(C60=1, "Базовая частота, Гц", "Fundamental frequency, Hz")</f>
        <v>Базовая частота, Гц</v>
      </c>
      <c r="B48" s="4">
        <v>100</v>
      </c>
      <c r="E48" s="11" t="s">
        <v>1</v>
      </c>
      <c r="F48" s="15" t="str">
        <f>IF(C60=1, "Заполнить значение удвоенной частоты сети", "Doible mains frequency (you should put it in).")</f>
        <v>Заполнить значение удвоенной частоты сети</v>
      </c>
    </row>
    <row r="49" spans="1:6" x14ac:dyDescent="0.25">
      <c r="A49" s="27"/>
      <c r="B49" s="4"/>
      <c r="E49" s="11" t="s">
        <v>0</v>
      </c>
      <c r="F49" s="15"/>
    </row>
    <row r="50" spans="1:6" ht="30" customHeight="1" x14ac:dyDescent="0.25">
      <c r="A50" s="18" t="str">
        <f>IF(C60=1, "Минимальный Cg, мкФ", "Recommended Cg, μF")</f>
        <v>Минимальный Cg, мкФ</v>
      </c>
      <c r="B50" s="16">
        <f>10000000/(2*PI()*B48*C6)</f>
        <v>129.9224025239962</v>
      </c>
      <c r="E50" s="11" t="s">
        <v>2</v>
      </c>
      <c r="F50" s="15" t="str">
        <f>IF(C60=1, "Рекомендованное минимальное значение шунтирующего конденсатора", "Recommended bypass capacitor (min value)")</f>
        <v>Рекомендованное минимальное значение шунтирующего конденсатора</v>
      </c>
    </row>
    <row r="51" spans="1:6" x14ac:dyDescent="0.25">
      <c r="A51" s="27"/>
      <c r="B51" s="4"/>
      <c r="E51" s="11" t="s">
        <v>0</v>
      </c>
      <c r="F51" s="15"/>
    </row>
    <row r="52" spans="1:6" x14ac:dyDescent="0.25">
      <c r="A52" s="17"/>
      <c r="E52" s="25" t="str">
        <f>IF(C60=1, "Завершить", "End")</f>
        <v>Завершить</v>
      </c>
      <c r="F52" s="15"/>
    </row>
    <row r="53" spans="1:6" x14ac:dyDescent="0.25">
      <c r="A53" s="17"/>
      <c r="E53" s="11"/>
      <c r="F53" s="15"/>
    </row>
    <row r="54" spans="1:6" x14ac:dyDescent="0.25">
      <c r="A54" s="17"/>
      <c r="E54" s="11"/>
      <c r="F54" s="29" t="str">
        <f>IF(C60=1, "Жёлтый фон-заполняется", "Yellow lines are filled manually.")</f>
        <v>Жёлтый фон-заполняется</v>
      </c>
    </row>
    <row r="55" spans="1:6" x14ac:dyDescent="0.25">
      <c r="A55" s="18" t="str">
        <f>IF(C60=1, "Информация о мощности, Вт", "Informational (Pd), Вт")</f>
        <v>Информация о мощности, Вт</v>
      </c>
      <c r="B55" s="16">
        <f>(B33-C20)*(B25+D2/C8+D20/C17)+B33*D3/1000000</f>
        <v>7.8606260798290215</v>
      </c>
      <c r="E55" s="11"/>
      <c r="F55" s="30" t="str">
        <f>IF(C60=1, "Зелёный фон-рассчитывается", "Green lines are counted automatically.")</f>
        <v>Зелёный фон-рассчитывается</v>
      </c>
    </row>
    <row r="56" spans="1:6" x14ac:dyDescent="0.25">
      <c r="A56" s="17"/>
      <c r="E56" s="11"/>
      <c r="F56" s="15"/>
    </row>
    <row r="57" spans="1:6" x14ac:dyDescent="0.25">
      <c r="A57" s="17"/>
      <c r="E57" s="11"/>
      <c r="F57" s="15" t="str">
        <f>IF(C60=1, "Radj-резистор между выводами out и adj", "Radj-the resistor between pins out and adj")</f>
        <v>Radj-резистор между выводами out и adj</v>
      </c>
    </row>
    <row r="58" spans="1:6" x14ac:dyDescent="0.25">
      <c r="A58" s="17"/>
      <c r="E58" s="11"/>
      <c r="F58" s="15" t="str">
        <f>IF(C60=1, "Rg-резистор между выводом adj и землёй", "Rg-the reistor between the pin adj and the common wire")</f>
        <v>Rg-резистор между выводом adj и землёй</v>
      </c>
    </row>
    <row r="59" spans="1:6" x14ac:dyDescent="0.25">
      <c r="A59" s="17" t="str">
        <f>IF(C60=1, "Оформлено Потаповым Владиславом", "Written by Potapov Vladislav")</f>
        <v>Оформлено Потаповым Владиславом</v>
      </c>
      <c r="E59" s="11"/>
      <c r="F59" s="15" t="str">
        <f>IF(C60=1, "Cg-конденсатор шунтирующий Rg", "Cg is the bypass of Rg")</f>
        <v>Cg-конденсатор шунтирующий Rg</v>
      </c>
    </row>
    <row r="60" spans="1:6" ht="72" customHeight="1" x14ac:dyDescent="0.25">
      <c r="A60" s="15" t="s">
        <v>5</v>
      </c>
      <c r="C60" s="35">
        <v>1</v>
      </c>
    </row>
    <row r="61" spans="1:6" x14ac:dyDescent="0.25">
      <c r="B61" s="14" t="str">
        <f>IF(C60=1, "Русский", "Английский")</f>
        <v>Русский</v>
      </c>
    </row>
    <row r="62" spans="1:6" x14ac:dyDescent="0.25">
      <c r="B62" s="36" t="s">
        <v>3</v>
      </c>
    </row>
    <row r="63" spans="1:6" x14ac:dyDescent="0.25">
      <c r="B63" s="36" t="s">
        <v>4</v>
      </c>
    </row>
  </sheetData>
  <sheetProtection password="95AB" sheet="1" selectLockedCells="1"/>
  <conditionalFormatting sqref="B31">
    <cfRule type="expression" dxfId="0" priority="1">
      <formula>$B$31&lt;$B$29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locked="0" defaultSize="0" autoLine="0" autoPict="0">
                <anchor moveWithCells="1">
                  <from>
                    <xdr:col>1</xdr:col>
                    <xdr:colOff>19050</xdr:colOff>
                    <xdr:row>59</xdr:row>
                    <xdr:rowOff>9525</xdr:rowOff>
                  </from>
                  <to>
                    <xdr:col>2</xdr:col>
                    <xdr:colOff>19050</xdr:colOff>
                    <xdr:row>60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Regulator's countings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2016-09-18T13:07:12Z</dcterms:modified>
</cp:coreProperties>
</file>